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544E6EDA-6CED-466E-B196-2A9409CAAF34}" xr6:coauthVersionLast="47" xr6:coauthVersionMax="47" xr10:uidLastSave="{00000000-0000-0000-0000-000000000000}"/>
  <bookViews>
    <workbookView xWindow="-110" yWindow="-110" windowWidth="25820" windowHeight="15500" xr2:uid="{8CB6C70B-0BB8-4F6B-B037-BBB9172B86E2}"/>
  </bookViews>
  <sheets>
    <sheet name="Margin Review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0" i="1" s="1"/>
  <c r="E59" i="1"/>
  <c r="E60" i="1" s="1"/>
  <c r="D59" i="1"/>
  <c r="D60" i="1" s="1"/>
  <c r="C59" i="1"/>
  <c r="C60" i="1" s="1"/>
  <c r="C58" i="1"/>
  <c r="F58" i="1" s="1"/>
  <c r="F57" i="1"/>
  <c r="E57" i="1"/>
  <c r="D57" i="1"/>
  <c r="G49" i="1"/>
  <c r="F49" i="1"/>
  <c r="J48" i="1"/>
  <c r="I48" i="1"/>
  <c r="H48" i="1"/>
  <c r="F48" i="1"/>
  <c r="E48" i="1"/>
  <c r="D48" i="1"/>
  <c r="D47" i="1"/>
  <c r="D46" i="1"/>
  <c r="E46" i="1" s="1"/>
  <c r="F45" i="1"/>
  <c r="E45" i="1"/>
  <c r="D45" i="1"/>
  <c r="G35" i="1"/>
  <c r="F35" i="1"/>
  <c r="E35" i="1"/>
  <c r="E30" i="1"/>
  <c r="E32" i="1" s="1"/>
  <c r="E33" i="1" s="1"/>
  <c r="E34" i="1" s="1"/>
  <c r="D30" i="1"/>
  <c r="D32" i="1" s="1"/>
  <c r="D33" i="1" s="1"/>
  <c r="D34" i="1" s="1"/>
  <c r="J29" i="1"/>
  <c r="J49" i="1" s="1"/>
  <c r="I29" i="1"/>
  <c r="I49" i="1" s="1"/>
  <c r="H29" i="1"/>
  <c r="H49" i="1" s="1"/>
  <c r="G29" i="1"/>
  <c r="F29" i="1"/>
  <c r="E29" i="1"/>
  <c r="E49" i="1" s="1"/>
  <c r="D29" i="1"/>
  <c r="D49" i="1" s="1"/>
  <c r="J28" i="1"/>
  <c r="I28" i="1"/>
  <c r="H28" i="1"/>
  <c r="G28" i="1"/>
  <c r="F28" i="1"/>
  <c r="E28" i="1"/>
  <c r="D28" i="1"/>
  <c r="J27" i="1"/>
  <c r="J30" i="1" s="1"/>
  <c r="I27" i="1"/>
  <c r="I30" i="1" s="1"/>
  <c r="H27" i="1"/>
  <c r="H30" i="1" s="1"/>
  <c r="G27" i="1"/>
  <c r="G30" i="1" s="1"/>
  <c r="F27" i="1"/>
  <c r="F30" i="1" s="1"/>
  <c r="E27" i="1"/>
  <c r="D27" i="1"/>
  <c r="G26" i="1"/>
  <c r="G48" i="1" s="1"/>
  <c r="E26" i="1"/>
  <c r="J17" i="1"/>
  <c r="I17" i="1"/>
  <c r="H17" i="1"/>
  <c r="G17" i="1"/>
  <c r="F17" i="1"/>
  <c r="E17" i="1"/>
  <c r="D17" i="1"/>
  <c r="D14" i="1"/>
  <c r="D21" i="1" s="1"/>
  <c r="D22" i="1" s="1"/>
  <c r="D12" i="1"/>
  <c r="E11" i="1"/>
  <c r="E12" i="1" s="1"/>
  <c r="E14" i="1" s="1"/>
  <c r="E21" i="1" s="1"/>
  <c r="E22" i="1" s="1"/>
  <c r="J9" i="1"/>
  <c r="I9" i="1"/>
  <c r="I35" i="1" s="1"/>
  <c r="H9" i="1"/>
  <c r="G9" i="1"/>
  <c r="G45" i="1" s="1"/>
  <c r="F9" i="1"/>
  <c r="E9" i="1"/>
  <c r="D9" i="1"/>
  <c r="D35" i="1" s="1"/>
  <c r="D36" i="1" l="1"/>
  <c r="D38" i="1" s="1"/>
  <c r="E47" i="1"/>
  <c r="F46" i="1"/>
  <c r="E36" i="1"/>
  <c r="E38" i="1" s="1"/>
  <c r="J35" i="1"/>
  <c r="D58" i="1"/>
  <c r="H45" i="1"/>
  <c r="E58" i="1"/>
  <c r="H35" i="1"/>
  <c r="F11" i="1"/>
  <c r="F32" i="1" s="1"/>
  <c r="F33" i="1" s="1"/>
  <c r="F34" i="1" s="1"/>
  <c r="F36" i="1" s="1"/>
  <c r="F38" i="1" s="1"/>
  <c r="I45" i="1"/>
  <c r="J45" i="1"/>
  <c r="F50" i="1" l="1"/>
  <c r="F51" i="1" s="1"/>
  <c r="F39" i="1"/>
  <c r="F42" i="1" s="1"/>
  <c r="D39" i="1"/>
  <c r="D42" i="1" s="1"/>
  <c r="D50" i="1"/>
  <c r="F47" i="1"/>
  <c r="F52" i="1" s="1"/>
  <c r="F53" i="1" s="1"/>
  <c r="G46" i="1"/>
  <c r="E50" i="1"/>
  <c r="E51" i="1" s="1"/>
  <c r="E39" i="1"/>
  <c r="E42" i="1" s="1"/>
  <c r="F12" i="1"/>
  <c r="F14" i="1" s="1"/>
  <c r="F21" i="1" s="1"/>
  <c r="F22" i="1" s="1"/>
  <c r="G11" i="1"/>
  <c r="G12" i="1" l="1"/>
  <c r="G14" i="1" s="1"/>
  <c r="G21" i="1" s="1"/>
  <c r="G22" i="1" s="1"/>
  <c r="H11" i="1"/>
  <c r="G32" i="1"/>
  <c r="G33" i="1" s="1"/>
  <c r="G34" i="1" s="1"/>
  <c r="G36" i="1" s="1"/>
  <c r="G38" i="1" s="1"/>
  <c r="E52" i="1"/>
  <c r="E53" i="1" s="1"/>
  <c r="H46" i="1"/>
  <c r="G47" i="1"/>
  <c r="D51" i="1"/>
  <c r="D52" i="1" s="1"/>
  <c r="D53" i="1" s="1"/>
  <c r="G50" i="1" l="1"/>
  <c r="G51" i="1" s="1"/>
  <c r="G39" i="1"/>
  <c r="G42" i="1" s="1"/>
  <c r="G52" i="1"/>
  <c r="G53" i="1" s="1"/>
  <c r="I46" i="1"/>
  <c r="H47" i="1"/>
  <c r="H12" i="1"/>
  <c r="H14" i="1" s="1"/>
  <c r="H21" i="1" s="1"/>
  <c r="H22" i="1" s="1"/>
  <c r="I11" i="1"/>
  <c r="H32" i="1"/>
  <c r="H33" i="1" s="1"/>
  <c r="H34" i="1" s="1"/>
  <c r="H36" i="1" s="1"/>
  <c r="H38" i="1" s="1"/>
  <c r="H50" i="1" l="1"/>
  <c r="H51" i="1" s="1"/>
  <c r="H39" i="1"/>
  <c r="H42" i="1" s="1"/>
  <c r="I12" i="1"/>
  <c r="I14" i="1" s="1"/>
  <c r="I21" i="1" s="1"/>
  <c r="I22" i="1" s="1"/>
  <c r="J11" i="1"/>
  <c r="I32" i="1"/>
  <c r="I33" i="1" s="1"/>
  <c r="I34" i="1" s="1"/>
  <c r="I36" i="1" s="1"/>
  <c r="I38" i="1" s="1"/>
  <c r="H52" i="1"/>
  <c r="H53" i="1" s="1"/>
  <c r="J46" i="1"/>
  <c r="J47" i="1" s="1"/>
  <c r="I47" i="1"/>
  <c r="J12" i="1" l="1"/>
  <c r="J14" i="1" s="1"/>
  <c r="J21" i="1" s="1"/>
  <c r="J22" i="1" s="1"/>
  <c r="J32" i="1"/>
  <c r="J33" i="1" s="1"/>
  <c r="J34" i="1" s="1"/>
  <c r="J36" i="1" s="1"/>
  <c r="J38" i="1" s="1"/>
  <c r="I50" i="1"/>
  <c r="I51" i="1" s="1"/>
  <c r="I39" i="1"/>
  <c r="I42" i="1" s="1"/>
  <c r="J50" i="1" l="1"/>
  <c r="J39" i="1"/>
  <c r="J42" i="1" s="1"/>
  <c r="I52" i="1"/>
  <c r="I53" i="1" s="1"/>
  <c r="J51" i="1" l="1"/>
  <c r="J52" i="1"/>
  <c r="J53" i="1" s="1"/>
</calcChain>
</file>

<file path=xl/sharedStrings.xml><?xml version="1.0" encoding="utf-8"?>
<sst xmlns="http://schemas.openxmlformats.org/spreadsheetml/2006/main" count="131" uniqueCount="118">
  <si>
    <t>Sample Provider Margin Report</t>
  </si>
  <si>
    <t>Bashful</t>
  </si>
  <si>
    <t>Doc</t>
  </si>
  <si>
    <t>Dopey</t>
  </si>
  <si>
    <t>Grumpy</t>
  </si>
  <si>
    <t>Happy</t>
  </si>
  <si>
    <t>Sleepy</t>
  </si>
  <si>
    <t>Sneezy</t>
  </si>
  <si>
    <t xml:space="preserve">Margin Review Last 12 Months </t>
  </si>
  <si>
    <t>Physician</t>
  </si>
  <si>
    <t>Extender</t>
  </si>
  <si>
    <t>A</t>
  </si>
  <si>
    <t>Total Payments</t>
  </si>
  <si>
    <t>Actual From PM System</t>
  </si>
  <si>
    <t>B</t>
  </si>
  <si>
    <t>Immunization Payments</t>
  </si>
  <si>
    <t>C</t>
  </si>
  <si>
    <t>Lab Payments</t>
  </si>
  <si>
    <t>D</t>
  </si>
  <si>
    <t>Personally Performed Payments</t>
  </si>
  <si>
    <t>Sum A:C</t>
  </si>
  <si>
    <t>E</t>
  </si>
  <si>
    <t>Assigned Overhead Rate</t>
  </si>
  <si>
    <t>Calculated</t>
  </si>
  <si>
    <t>F</t>
  </si>
  <si>
    <t>Assigned Overhead ($)</t>
  </si>
  <si>
    <t>D * E</t>
  </si>
  <si>
    <t>G</t>
  </si>
  <si>
    <t>Remaining Margin For Comp &amp; Margin</t>
  </si>
  <si>
    <t>D + F</t>
  </si>
  <si>
    <t>H</t>
  </si>
  <si>
    <t>Total Gross Wages Paid</t>
  </si>
  <si>
    <t>Actual from Payroll System</t>
  </si>
  <si>
    <t>I</t>
  </si>
  <si>
    <t>Employ(ER) Taxes</t>
  </si>
  <si>
    <t>H * 8.65%</t>
  </si>
  <si>
    <t>J</t>
  </si>
  <si>
    <t>Benefits</t>
  </si>
  <si>
    <t>TBD</t>
  </si>
  <si>
    <t>K</t>
  </si>
  <si>
    <t>CME</t>
  </si>
  <si>
    <t>L</t>
  </si>
  <si>
    <t>Practice Margin ($)</t>
  </si>
  <si>
    <t>Sum G:K</t>
  </si>
  <si>
    <t>M</t>
  </si>
  <si>
    <t>Practice Margin (%)</t>
  </si>
  <si>
    <t>L / D</t>
  </si>
  <si>
    <t>Proposed Salary/Bonus For 2023</t>
  </si>
  <si>
    <t>Days Worked Per Week</t>
  </si>
  <si>
    <t>N</t>
  </si>
  <si>
    <t>Proposed Base</t>
  </si>
  <si>
    <t>O</t>
  </si>
  <si>
    <t>Proposed EmployER Taxes</t>
  </si>
  <si>
    <t>N * 8.65%</t>
  </si>
  <si>
    <t>P</t>
  </si>
  <si>
    <t>Proposed Benefits</t>
  </si>
  <si>
    <t>Q</t>
  </si>
  <si>
    <t>Proposed CME</t>
  </si>
  <si>
    <t>$400 per schedule days</t>
  </si>
  <si>
    <t>R</t>
  </si>
  <si>
    <t>Total Proposed Comp Cost</t>
  </si>
  <si>
    <t>Sum N:Q</t>
  </si>
  <si>
    <t>S</t>
  </si>
  <si>
    <t>Revenue Needed To Cover Salary/Benefits</t>
  </si>
  <si>
    <t>R / (1-E)</t>
  </si>
  <si>
    <t>T</t>
  </si>
  <si>
    <t>Practice Margin Desired</t>
  </si>
  <si>
    <t>S X 10%</t>
  </si>
  <si>
    <t>U</t>
  </si>
  <si>
    <t>Threshold</t>
  </si>
  <si>
    <t>S + T</t>
  </si>
  <si>
    <t>V</t>
  </si>
  <si>
    <t>Prior 12 Month Revenue</t>
  </si>
  <si>
    <t>W</t>
  </si>
  <si>
    <t>Bonus Dollars</t>
  </si>
  <si>
    <t>V - U</t>
  </si>
  <si>
    <t>X</t>
  </si>
  <si>
    <t>Bonus Rate</t>
  </si>
  <si>
    <t>Discretionary/Contracted</t>
  </si>
  <si>
    <t>Y</t>
  </si>
  <si>
    <t>Bonus Earned</t>
  </si>
  <si>
    <t>W * X</t>
  </si>
  <si>
    <t>Z</t>
  </si>
  <si>
    <t>Total Proposed Salary &amp; Bonus</t>
  </si>
  <si>
    <t>N + Y</t>
  </si>
  <si>
    <t>Comparison Between Last 12 Month Actual and Proposed Comp for 2023</t>
  </si>
  <si>
    <t>AA</t>
  </si>
  <si>
    <t>Base &amp; Bonus Compare</t>
  </si>
  <si>
    <t>H + Z</t>
  </si>
  <si>
    <t>Practice Margin For Proposed 2023 Salary/Bonus</t>
  </si>
  <si>
    <t>BB</t>
  </si>
  <si>
    <t>Expected Revenue Generated</t>
  </si>
  <si>
    <t>CC</t>
  </si>
  <si>
    <t>Expected OH Rate</t>
  </si>
  <si>
    <t>DD</t>
  </si>
  <si>
    <t>Expected Allocated OH Expense</t>
  </si>
  <si>
    <t>BB * CC * -1</t>
  </si>
  <si>
    <t>EE</t>
  </si>
  <si>
    <t>Proposed Salary</t>
  </si>
  <si>
    <t>FF</t>
  </si>
  <si>
    <t>Proposed Benefits &amp; CME</t>
  </si>
  <si>
    <t>(P + Q)*-1</t>
  </si>
  <si>
    <t>GG</t>
  </si>
  <si>
    <t>Proposed Bonus</t>
  </si>
  <si>
    <t>HH</t>
  </si>
  <si>
    <t>EmployER Taxes</t>
  </si>
  <si>
    <t>(EE + GG) * 8.65%</t>
  </si>
  <si>
    <t>II</t>
  </si>
  <si>
    <t>Expected Margin ($)</t>
  </si>
  <si>
    <t>BB+DD+EE+FF+GG+HH</t>
  </si>
  <si>
    <t>Expected Margin (%)</t>
  </si>
  <si>
    <t>II / BB</t>
  </si>
  <si>
    <t>Sliding Scale Base Salary By Scheduled Days Worked</t>
  </si>
  <si>
    <t>Days per week</t>
  </si>
  <si>
    <t>Physician Base</t>
  </si>
  <si>
    <t>Extender Base</t>
  </si>
  <si>
    <t>Physician CME</t>
  </si>
  <si>
    <t>Extender CME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</si>
</sst>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9"/>
      <name val="Aptos Narrow"/>
      <family val="2"/>
      <scheme val="minor"/>
    </font>
    <font>
      <i/>
      <sz val="16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 wrapText="1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0" xfId="0" applyFont="1" applyFill="1"/>
    <xf numFmtId="164" fontId="0" fillId="2" borderId="0" xfId="1" applyNumberFormat="1" applyFont="1" applyFill="1"/>
    <xf numFmtId="10" fontId="0" fillId="2" borderId="0" xfId="2" applyNumberFormat="1" applyFont="1" applyFill="1"/>
    <xf numFmtId="164" fontId="0" fillId="2" borderId="0" xfId="0" applyNumberFormat="1" applyFill="1"/>
    <xf numFmtId="165" fontId="0" fillId="2" borderId="0" xfId="2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0" xfId="0" applyFont="1" applyFill="1"/>
    <xf numFmtId="0" fontId="10" fillId="3" borderId="0" xfId="0" applyFont="1" applyFill="1" applyAlignment="1">
      <alignment horizontal="center"/>
    </xf>
    <xf numFmtId="164" fontId="11" fillId="3" borderId="0" xfId="1" applyNumberFormat="1" applyFont="1" applyFill="1"/>
    <xf numFmtId="164" fontId="0" fillId="3" borderId="0" xfId="1" applyNumberFormat="1" applyFont="1" applyFill="1"/>
    <xf numFmtId="164" fontId="0" fillId="3" borderId="0" xfId="0" applyNumberFormat="1" applyFill="1"/>
    <xf numFmtId="164" fontId="12" fillId="3" borderId="0" xfId="0" applyNumberFormat="1" applyFont="1" applyFill="1"/>
    <xf numFmtId="165" fontId="0" fillId="3" borderId="0" xfId="2" applyNumberFormat="1" applyFont="1" applyFill="1" applyAlignment="1">
      <alignment horizontal="center"/>
    </xf>
    <xf numFmtId="164" fontId="0" fillId="0" borderId="0" xfId="0" applyNumberFormat="1"/>
    <xf numFmtId="0" fontId="2" fillId="4" borderId="0" xfId="0" applyFont="1" applyFill="1" applyAlignment="1">
      <alignment horizontal="right"/>
    </xf>
    <xf numFmtId="0" fontId="0" fillId="4" borderId="0" xfId="0" applyFill="1"/>
    <xf numFmtId="0" fontId="2" fillId="4" borderId="0" xfId="0" applyFont="1" applyFill="1"/>
    <xf numFmtId="164" fontId="0" fillId="4" borderId="0" xfId="0" applyNumberFormat="1" applyFill="1"/>
    <xf numFmtId="0" fontId="2" fillId="5" borderId="0" xfId="0" applyFont="1" applyFill="1" applyAlignment="1">
      <alignment horizontal="right"/>
    </xf>
    <xf numFmtId="0" fontId="0" fillId="5" borderId="0" xfId="0" applyFill="1"/>
    <xf numFmtId="0" fontId="2" fillId="5" borderId="0" xfId="0" applyFont="1" applyFill="1"/>
    <xf numFmtId="164" fontId="0" fillId="5" borderId="0" xfId="0" applyNumberFormat="1" applyFill="1"/>
    <xf numFmtId="10" fontId="0" fillId="5" borderId="0" xfId="2" applyNumberFormat="1" applyFont="1" applyFill="1"/>
    <xf numFmtId="164" fontId="0" fillId="5" borderId="0" xfId="1" applyNumberFormat="1" applyFont="1" applyFill="1"/>
    <xf numFmtId="0" fontId="7" fillId="5" borderId="0" xfId="0" applyFont="1" applyFill="1" applyAlignment="1">
      <alignment horizontal="right"/>
    </xf>
    <xf numFmtId="0" fontId="12" fillId="5" borderId="0" xfId="0" applyFont="1" applyFill="1"/>
    <xf numFmtId="0" fontId="7" fillId="5" borderId="0" xfId="0" applyFont="1" applyFill="1"/>
    <xf numFmtId="164" fontId="12" fillId="5" borderId="0" xfId="0" applyNumberFormat="1" applyFont="1" applyFill="1"/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0ADF-73E3-4E92-AB25-D13AC9AAC631}">
  <dimension ref="A1:J60"/>
  <sheetViews>
    <sheetView tabSelected="1" zoomScale="130" zoomScaleNormal="130" workbookViewId="0">
      <selection activeCell="F5" sqref="F5"/>
    </sheetView>
  </sheetViews>
  <sheetFormatPr defaultRowHeight="13" x14ac:dyDescent="0.3"/>
  <cols>
    <col min="1" max="1" width="2.7265625" style="1" bestFit="1" customWidth="1"/>
    <col min="2" max="2" width="38.453125" customWidth="1"/>
    <col min="3" max="3" width="18.453125" style="3" bestFit="1" customWidth="1"/>
    <col min="4" max="4" width="12.81640625" bestFit="1" customWidth="1"/>
    <col min="5" max="5" width="11.1796875" bestFit="1" customWidth="1"/>
    <col min="6" max="6" width="14.453125" bestFit="1" customWidth="1"/>
    <col min="7" max="7" width="15.7265625" bestFit="1" customWidth="1"/>
    <col min="8" max="8" width="11.1796875" bestFit="1" customWidth="1"/>
    <col min="9" max="9" width="11.81640625" bestFit="1" customWidth="1"/>
    <col min="10" max="10" width="11.1796875" bestFit="1" customWidth="1"/>
  </cols>
  <sheetData>
    <row r="1" spans="1:10" ht="23.5" x14ac:dyDescent="0.55000000000000004">
      <c r="B1" s="2" t="s">
        <v>0</v>
      </c>
    </row>
    <row r="3" spans="1:10" ht="14.5" x14ac:dyDescent="0.35"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</row>
    <row r="4" spans="1:10" ht="21" x14ac:dyDescent="0.5">
      <c r="B4" s="5" t="s">
        <v>8</v>
      </c>
      <c r="D4" s="6"/>
      <c r="E4" s="6"/>
      <c r="F4" s="6"/>
      <c r="G4" s="6"/>
      <c r="H4" s="6"/>
      <c r="I4" s="6"/>
      <c r="J4" s="6"/>
    </row>
    <row r="5" spans="1:10" ht="21" x14ac:dyDescent="0.5">
      <c r="A5" s="7"/>
      <c r="B5" s="8"/>
      <c r="C5" s="9"/>
      <c r="D5" s="10" t="s">
        <v>9</v>
      </c>
      <c r="E5" s="10" t="s">
        <v>9</v>
      </c>
      <c r="F5" s="10" t="s">
        <v>9</v>
      </c>
      <c r="G5" s="10" t="s">
        <v>10</v>
      </c>
      <c r="H5" s="10" t="s">
        <v>10</v>
      </c>
      <c r="I5" s="10" t="s">
        <v>10</v>
      </c>
      <c r="J5" s="10" t="s">
        <v>9</v>
      </c>
    </row>
    <row r="6" spans="1:10" x14ac:dyDescent="0.3">
      <c r="A6" s="11" t="s">
        <v>11</v>
      </c>
      <c r="B6" s="12" t="s">
        <v>12</v>
      </c>
      <c r="C6" s="13" t="s">
        <v>13</v>
      </c>
      <c r="D6" s="14">
        <v>450000</v>
      </c>
      <c r="E6" s="14">
        <v>680000</v>
      </c>
      <c r="F6" s="14">
        <v>975000</v>
      </c>
      <c r="G6" s="14">
        <v>850000</v>
      </c>
      <c r="H6" s="14">
        <v>875000</v>
      </c>
      <c r="I6" s="14">
        <v>730000</v>
      </c>
      <c r="J6" s="14">
        <v>675000</v>
      </c>
    </row>
    <row r="7" spans="1:10" x14ac:dyDescent="0.3">
      <c r="A7" s="11" t="s">
        <v>14</v>
      </c>
      <c r="B7" s="12" t="s">
        <v>15</v>
      </c>
      <c r="C7" s="13" t="s">
        <v>13</v>
      </c>
      <c r="D7" s="14">
        <v>-125000</v>
      </c>
      <c r="E7" s="14">
        <v>-185000</v>
      </c>
      <c r="F7" s="14">
        <v>-280000</v>
      </c>
      <c r="G7" s="14">
        <v>-225000</v>
      </c>
      <c r="H7" s="14">
        <v>-240000</v>
      </c>
      <c r="I7" s="14">
        <v>-220000</v>
      </c>
      <c r="J7" s="14">
        <v>-215000</v>
      </c>
    </row>
    <row r="8" spans="1:10" x14ac:dyDescent="0.3">
      <c r="A8" s="11" t="s">
        <v>16</v>
      </c>
      <c r="B8" s="12" t="s">
        <v>17</v>
      </c>
      <c r="C8" s="13" t="s">
        <v>13</v>
      </c>
      <c r="D8" s="14">
        <v>-33500</v>
      </c>
      <c r="E8" s="14">
        <v>-40000</v>
      </c>
      <c r="F8" s="14">
        <v>-79000</v>
      </c>
      <c r="G8" s="14">
        <v>-55000</v>
      </c>
      <c r="H8" s="14">
        <v>-65000</v>
      </c>
      <c r="I8" s="14">
        <v>-40000</v>
      </c>
      <c r="J8" s="14">
        <v>-37500</v>
      </c>
    </row>
    <row r="9" spans="1:10" x14ac:dyDescent="0.3">
      <c r="A9" s="11" t="s">
        <v>18</v>
      </c>
      <c r="B9" s="12" t="s">
        <v>19</v>
      </c>
      <c r="C9" s="13" t="s">
        <v>20</v>
      </c>
      <c r="D9" s="14">
        <f t="shared" ref="D9:J9" si="0">SUM(D6:D8)</f>
        <v>291500</v>
      </c>
      <c r="E9" s="14">
        <f t="shared" si="0"/>
        <v>455000</v>
      </c>
      <c r="F9" s="14">
        <f t="shared" si="0"/>
        <v>616000</v>
      </c>
      <c r="G9" s="14">
        <f t="shared" si="0"/>
        <v>570000</v>
      </c>
      <c r="H9" s="14">
        <f t="shared" si="0"/>
        <v>570000</v>
      </c>
      <c r="I9" s="14">
        <f t="shared" si="0"/>
        <v>470000</v>
      </c>
      <c r="J9" s="14">
        <f t="shared" si="0"/>
        <v>422500</v>
      </c>
    </row>
    <row r="10" spans="1:10" x14ac:dyDescent="0.3">
      <c r="A10" s="11"/>
      <c r="B10" s="12"/>
      <c r="C10" s="13"/>
      <c r="D10" s="12"/>
      <c r="E10" s="12"/>
      <c r="F10" s="12"/>
      <c r="G10" s="12"/>
      <c r="H10" s="12"/>
      <c r="I10" s="12"/>
      <c r="J10" s="12"/>
    </row>
    <row r="11" spans="1:10" x14ac:dyDescent="0.3">
      <c r="A11" s="11" t="s">
        <v>21</v>
      </c>
      <c r="B11" s="12" t="s">
        <v>22</v>
      </c>
      <c r="C11" s="13" t="s">
        <v>23</v>
      </c>
      <c r="D11" s="15">
        <v>0.6</v>
      </c>
      <c r="E11" s="15">
        <f>D11</f>
        <v>0.6</v>
      </c>
      <c r="F11" s="15">
        <f t="shared" ref="F11:J11" si="1">E11</f>
        <v>0.6</v>
      </c>
      <c r="G11" s="15">
        <f t="shared" si="1"/>
        <v>0.6</v>
      </c>
      <c r="H11" s="15">
        <f t="shared" si="1"/>
        <v>0.6</v>
      </c>
      <c r="I11" s="15">
        <f t="shared" si="1"/>
        <v>0.6</v>
      </c>
      <c r="J11" s="15">
        <f t="shared" si="1"/>
        <v>0.6</v>
      </c>
    </row>
    <row r="12" spans="1:10" x14ac:dyDescent="0.3">
      <c r="A12" s="11" t="s">
        <v>24</v>
      </c>
      <c r="B12" s="12" t="s">
        <v>25</v>
      </c>
      <c r="C12" s="13" t="s">
        <v>26</v>
      </c>
      <c r="D12" s="14">
        <f t="shared" ref="D12:J12" si="2">D11*D9*-1</f>
        <v>-174900</v>
      </c>
      <c r="E12" s="14">
        <f t="shared" si="2"/>
        <v>-273000</v>
      </c>
      <c r="F12" s="14">
        <f t="shared" si="2"/>
        <v>-369600</v>
      </c>
      <c r="G12" s="14">
        <f t="shared" si="2"/>
        <v>-342000</v>
      </c>
      <c r="H12" s="14">
        <f t="shared" si="2"/>
        <v>-342000</v>
      </c>
      <c r="I12" s="14">
        <f t="shared" si="2"/>
        <v>-282000</v>
      </c>
      <c r="J12" s="14">
        <f t="shared" si="2"/>
        <v>-253500</v>
      </c>
    </row>
    <row r="13" spans="1:10" x14ac:dyDescent="0.3">
      <c r="A13" s="11"/>
      <c r="B13" s="12"/>
      <c r="C13" s="13"/>
      <c r="D13" s="14"/>
      <c r="E13" s="14"/>
      <c r="F13" s="14"/>
      <c r="G13" s="14"/>
      <c r="H13" s="14"/>
      <c r="I13" s="14"/>
      <c r="J13" s="14"/>
    </row>
    <row r="14" spans="1:10" x14ac:dyDescent="0.3">
      <c r="A14" s="11" t="s">
        <v>27</v>
      </c>
      <c r="B14" s="12" t="s">
        <v>28</v>
      </c>
      <c r="C14" s="13" t="s">
        <v>29</v>
      </c>
      <c r="D14" s="14">
        <f t="shared" ref="D14:J14" si="3">D9+D12</f>
        <v>116600</v>
      </c>
      <c r="E14" s="14">
        <f t="shared" si="3"/>
        <v>182000</v>
      </c>
      <c r="F14" s="14">
        <f t="shared" si="3"/>
        <v>246400</v>
      </c>
      <c r="G14" s="14">
        <f t="shared" si="3"/>
        <v>228000</v>
      </c>
      <c r="H14" s="14">
        <f t="shared" si="3"/>
        <v>228000</v>
      </c>
      <c r="I14" s="14">
        <f t="shared" si="3"/>
        <v>188000</v>
      </c>
      <c r="J14" s="14">
        <f t="shared" si="3"/>
        <v>169000</v>
      </c>
    </row>
    <row r="15" spans="1:10" x14ac:dyDescent="0.3">
      <c r="A15" s="11"/>
      <c r="B15" s="12"/>
      <c r="C15" s="13"/>
      <c r="D15" s="14"/>
      <c r="E15" s="14"/>
      <c r="F15" s="14"/>
      <c r="G15" s="14"/>
      <c r="H15" s="14"/>
      <c r="I15" s="14"/>
      <c r="J15" s="14"/>
    </row>
    <row r="16" spans="1:10" x14ac:dyDescent="0.3">
      <c r="A16" s="11" t="s">
        <v>30</v>
      </c>
      <c r="B16" s="12" t="s">
        <v>31</v>
      </c>
      <c r="C16" s="13" t="s">
        <v>32</v>
      </c>
      <c r="D16" s="14">
        <v>-82500</v>
      </c>
      <c r="E16" s="14">
        <v>-125000</v>
      </c>
      <c r="F16" s="14">
        <v>-170000</v>
      </c>
      <c r="G16" s="14">
        <v>-105250</v>
      </c>
      <c r="H16" s="14">
        <v>-100000</v>
      </c>
      <c r="I16" s="14">
        <v>-96500</v>
      </c>
      <c r="J16" s="14">
        <v>-125000</v>
      </c>
    </row>
    <row r="17" spans="1:10" x14ac:dyDescent="0.3">
      <c r="A17" s="11" t="s">
        <v>33</v>
      </c>
      <c r="B17" s="12" t="s">
        <v>34</v>
      </c>
      <c r="C17" s="13" t="s">
        <v>35</v>
      </c>
      <c r="D17" s="14">
        <f>D16*0.0865</f>
        <v>-7136.2499999999991</v>
      </c>
      <c r="E17" s="14">
        <f t="shared" ref="E17:J17" si="4">E16*0.0865</f>
        <v>-10812.5</v>
      </c>
      <c r="F17" s="14">
        <f t="shared" si="4"/>
        <v>-14704.999999999998</v>
      </c>
      <c r="G17" s="14">
        <f t="shared" si="4"/>
        <v>-9104.125</v>
      </c>
      <c r="H17" s="14">
        <f t="shared" si="4"/>
        <v>-8650</v>
      </c>
      <c r="I17" s="14">
        <f t="shared" si="4"/>
        <v>-8347.25</v>
      </c>
      <c r="J17" s="14">
        <f t="shared" si="4"/>
        <v>-10812.5</v>
      </c>
    </row>
    <row r="18" spans="1:10" x14ac:dyDescent="0.3">
      <c r="A18" s="11" t="s">
        <v>36</v>
      </c>
      <c r="B18" s="12" t="s">
        <v>37</v>
      </c>
      <c r="C18" s="13" t="s">
        <v>38</v>
      </c>
      <c r="D18" s="14">
        <v>0</v>
      </c>
      <c r="E18" s="14">
        <v>-6000</v>
      </c>
      <c r="F18" s="14">
        <v>-6000</v>
      </c>
      <c r="G18" s="14">
        <v>0</v>
      </c>
      <c r="H18" s="14">
        <v>-6000</v>
      </c>
      <c r="I18" s="14">
        <v>-4800</v>
      </c>
      <c r="J18" s="14">
        <v>-2400</v>
      </c>
    </row>
    <row r="19" spans="1:10" x14ac:dyDescent="0.3">
      <c r="A19" s="11" t="s">
        <v>39</v>
      </c>
      <c r="B19" s="12" t="s">
        <v>40</v>
      </c>
      <c r="C19" s="13" t="s">
        <v>38</v>
      </c>
      <c r="D19" s="14">
        <v>-800</v>
      </c>
      <c r="E19" s="14">
        <v>-1200</v>
      </c>
      <c r="F19" s="14">
        <v>-1500</v>
      </c>
      <c r="G19" s="14">
        <v>-1500</v>
      </c>
      <c r="H19" s="14">
        <v>-1500</v>
      </c>
      <c r="I19" s="14">
        <v>-1500</v>
      </c>
      <c r="J19" s="14">
        <v>-1250</v>
      </c>
    </row>
    <row r="20" spans="1:10" x14ac:dyDescent="0.3">
      <c r="A20" s="11"/>
      <c r="B20" s="12"/>
      <c r="C20" s="13"/>
      <c r="D20" s="12"/>
      <c r="E20" s="12"/>
      <c r="F20" s="12"/>
      <c r="G20" s="12"/>
      <c r="H20" s="12"/>
      <c r="I20" s="12"/>
      <c r="J20" s="12"/>
    </row>
    <row r="21" spans="1:10" x14ac:dyDescent="0.3">
      <c r="A21" s="11" t="s">
        <v>41</v>
      </c>
      <c r="B21" s="12" t="s">
        <v>42</v>
      </c>
      <c r="C21" s="13" t="s">
        <v>43</v>
      </c>
      <c r="D21" s="16">
        <f>SUM(D14:D19)</f>
        <v>26163.75</v>
      </c>
      <c r="E21" s="16">
        <f t="shared" ref="E21:J21" si="5">SUM(E14:E19)</f>
        <v>38987.5</v>
      </c>
      <c r="F21" s="16">
        <f t="shared" si="5"/>
        <v>54195</v>
      </c>
      <c r="G21" s="16">
        <f t="shared" si="5"/>
        <v>112145.875</v>
      </c>
      <c r="H21" s="16">
        <f t="shared" si="5"/>
        <v>111850</v>
      </c>
      <c r="I21" s="16">
        <f t="shared" si="5"/>
        <v>76852.75</v>
      </c>
      <c r="J21" s="16">
        <f t="shared" si="5"/>
        <v>29537.5</v>
      </c>
    </row>
    <row r="22" spans="1:10" x14ac:dyDescent="0.3">
      <c r="A22" s="11" t="s">
        <v>44</v>
      </c>
      <c r="B22" s="12" t="s">
        <v>45</v>
      </c>
      <c r="C22" s="13" t="s">
        <v>46</v>
      </c>
      <c r="D22" s="17">
        <f>D21/D9</f>
        <v>8.9755574614065178E-2</v>
      </c>
      <c r="E22" s="17">
        <f t="shared" ref="E22:J22" si="6">E21/E9</f>
        <v>8.568681318681319E-2</v>
      </c>
      <c r="F22" s="17">
        <f t="shared" si="6"/>
        <v>8.7978896103896101E-2</v>
      </c>
      <c r="G22" s="17">
        <f t="shared" si="6"/>
        <v>0.19674714912280702</v>
      </c>
      <c r="H22" s="17">
        <f t="shared" si="6"/>
        <v>0.19622807017543858</v>
      </c>
      <c r="I22" s="17">
        <f t="shared" si="6"/>
        <v>0.16351648936170213</v>
      </c>
      <c r="J22" s="17">
        <f t="shared" si="6"/>
        <v>6.9911242603550292E-2</v>
      </c>
    </row>
    <row r="24" spans="1:10" ht="21" x14ac:dyDescent="0.5">
      <c r="B24" s="5" t="s">
        <v>47</v>
      </c>
    </row>
    <row r="25" spans="1:10" ht="14.5" x14ac:dyDescent="0.35">
      <c r="A25" s="18"/>
      <c r="B25" s="19" t="s">
        <v>48</v>
      </c>
      <c r="C25" s="20"/>
      <c r="D25" s="21">
        <v>1.75</v>
      </c>
      <c r="E25" s="21">
        <v>3</v>
      </c>
      <c r="F25" s="21">
        <v>4</v>
      </c>
      <c r="G25" s="21">
        <v>4</v>
      </c>
      <c r="H25" s="21">
        <v>4</v>
      </c>
      <c r="I25" s="21">
        <v>4</v>
      </c>
      <c r="J25" s="21">
        <v>3</v>
      </c>
    </row>
    <row r="26" spans="1:10" ht="14.5" x14ac:dyDescent="0.35">
      <c r="A26" s="18" t="s">
        <v>49</v>
      </c>
      <c r="B26" s="19" t="s">
        <v>50</v>
      </c>
      <c r="C26" s="20"/>
      <c r="D26" s="22">
        <v>85000</v>
      </c>
      <c r="E26" s="22">
        <f>160000/4*3</f>
        <v>120000</v>
      </c>
      <c r="F26" s="22">
        <v>160000</v>
      </c>
      <c r="G26" s="22">
        <f>80000</f>
        <v>80000</v>
      </c>
      <c r="H26" s="22">
        <v>80000</v>
      </c>
      <c r="I26" s="22">
        <v>80000</v>
      </c>
      <c r="J26" s="22">
        <v>120000</v>
      </c>
    </row>
    <row r="27" spans="1:10" x14ac:dyDescent="0.3">
      <c r="A27" s="18" t="s">
        <v>51</v>
      </c>
      <c r="B27" s="19" t="s">
        <v>52</v>
      </c>
      <c r="C27" s="20" t="s">
        <v>53</v>
      </c>
      <c r="D27" s="23">
        <f>D26*0.0865</f>
        <v>7352.4999999999991</v>
      </c>
      <c r="E27" s="23">
        <f t="shared" ref="E27:J27" si="7">E26*0.0865</f>
        <v>10380</v>
      </c>
      <c r="F27" s="23">
        <f t="shared" si="7"/>
        <v>13839.999999999998</v>
      </c>
      <c r="G27" s="23">
        <f t="shared" si="7"/>
        <v>6919.9999999999991</v>
      </c>
      <c r="H27" s="23">
        <f t="shared" si="7"/>
        <v>6919.9999999999991</v>
      </c>
      <c r="I27" s="23">
        <f t="shared" si="7"/>
        <v>6919.9999999999991</v>
      </c>
      <c r="J27" s="23">
        <f t="shared" si="7"/>
        <v>10380</v>
      </c>
    </row>
    <row r="28" spans="1:10" x14ac:dyDescent="0.3">
      <c r="A28" s="18" t="s">
        <v>54</v>
      </c>
      <c r="B28" s="19" t="s">
        <v>55</v>
      </c>
      <c r="C28" s="20"/>
      <c r="D28" s="23">
        <f>D18*-1</f>
        <v>0</v>
      </c>
      <c r="E28" s="23">
        <f t="shared" ref="E28:J28" si="8">E18*-1</f>
        <v>6000</v>
      </c>
      <c r="F28" s="23">
        <f t="shared" si="8"/>
        <v>6000</v>
      </c>
      <c r="G28" s="23">
        <f t="shared" si="8"/>
        <v>0</v>
      </c>
      <c r="H28" s="23">
        <f t="shared" si="8"/>
        <v>6000</v>
      </c>
      <c r="I28" s="23">
        <f t="shared" si="8"/>
        <v>4800</v>
      </c>
      <c r="J28" s="23">
        <f t="shared" si="8"/>
        <v>2400</v>
      </c>
    </row>
    <row r="29" spans="1:10" x14ac:dyDescent="0.3">
      <c r="A29" s="18" t="s">
        <v>56</v>
      </c>
      <c r="B29" s="19" t="s">
        <v>57</v>
      </c>
      <c r="C29" s="20" t="s">
        <v>58</v>
      </c>
      <c r="D29" s="23">
        <f>400*D25</f>
        <v>700</v>
      </c>
      <c r="E29" s="23">
        <f t="shared" ref="E29:J29" si="9">400*E25</f>
        <v>1200</v>
      </c>
      <c r="F29" s="23">
        <f t="shared" si="9"/>
        <v>1600</v>
      </c>
      <c r="G29" s="23">
        <f t="shared" si="9"/>
        <v>1600</v>
      </c>
      <c r="H29" s="23">
        <f t="shared" si="9"/>
        <v>1600</v>
      </c>
      <c r="I29" s="23">
        <f t="shared" si="9"/>
        <v>1600</v>
      </c>
      <c r="J29" s="23">
        <f t="shared" si="9"/>
        <v>1200</v>
      </c>
    </row>
    <row r="30" spans="1:10" x14ac:dyDescent="0.3">
      <c r="A30" s="18" t="s">
        <v>59</v>
      </c>
      <c r="B30" s="19" t="s">
        <v>60</v>
      </c>
      <c r="C30" s="20" t="s">
        <v>61</v>
      </c>
      <c r="D30" s="23">
        <f>SUM(D26:D29)</f>
        <v>93052.5</v>
      </c>
      <c r="E30" s="23">
        <f t="shared" ref="E30:J30" si="10">SUM(E26:E29)</f>
        <v>137580</v>
      </c>
      <c r="F30" s="23">
        <f t="shared" si="10"/>
        <v>181440</v>
      </c>
      <c r="G30" s="23">
        <f t="shared" si="10"/>
        <v>88520</v>
      </c>
      <c r="H30" s="23">
        <f t="shared" si="10"/>
        <v>94520</v>
      </c>
      <c r="I30" s="23">
        <f t="shared" si="10"/>
        <v>93320</v>
      </c>
      <c r="J30" s="23">
        <f t="shared" si="10"/>
        <v>133980</v>
      </c>
    </row>
    <row r="31" spans="1:10" x14ac:dyDescent="0.3">
      <c r="A31" s="18"/>
      <c r="B31" s="19"/>
      <c r="C31" s="20"/>
      <c r="D31" s="19"/>
      <c r="E31" s="19"/>
      <c r="F31" s="19"/>
      <c r="G31" s="19"/>
      <c r="H31" s="19"/>
      <c r="I31" s="19"/>
      <c r="J31" s="19"/>
    </row>
    <row r="32" spans="1:10" x14ac:dyDescent="0.3">
      <c r="A32" s="18" t="s">
        <v>62</v>
      </c>
      <c r="B32" s="19" t="s">
        <v>63</v>
      </c>
      <c r="C32" s="20" t="s">
        <v>64</v>
      </c>
      <c r="D32" s="24">
        <f t="shared" ref="D32:J32" si="11">D30/(1-D11)</f>
        <v>232631.25</v>
      </c>
      <c r="E32" s="24">
        <f t="shared" si="11"/>
        <v>343950</v>
      </c>
      <c r="F32" s="24">
        <f t="shared" si="11"/>
        <v>453600</v>
      </c>
      <c r="G32" s="24">
        <f t="shared" si="11"/>
        <v>221300</v>
      </c>
      <c r="H32" s="24">
        <f t="shared" si="11"/>
        <v>236300</v>
      </c>
      <c r="I32" s="24">
        <f t="shared" si="11"/>
        <v>233300</v>
      </c>
      <c r="J32" s="24">
        <f t="shared" si="11"/>
        <v>334950</v>
      </c>
    </row>
    <row r="33" spans="1:10" x14ac:dyDescent="0.3">
      <c r="A33" s="18" t="s">
        <v>65</v>
      </c>
      <c r="B33" s="19" t="s">
        <v>66</v>
      </c>
      <c r="C33" s="20" t="s">
        <v>67</v>
      </c>
      <c r="D33" s="23">
        <f>D32*0.1</f>
        <v>23263.125</v>
      </c>
      <c r="E33" s="23">
        <f t="shared" ref="E33:J33" si="12">E32*0.1</f>
        <v>34395</v>
      </c>
      <c r="F33" s="23">
        <f t="shared" si="12"/>
        <v>45360</v>
      </c>
      <c r="G33" s="23">
        <f t="shared" si="12"/>
        <v>22130</v>
      </c>
      <c r="H33" s="23">
        <f t="shared" si="12"/>
        <v>23630</v>
      </c>
      <c r="I33" s="23">
        <f t="shared" si="12"/>
        <v>23330</v>
      </c>
      <c r="J33" s="23">
        <f t="shared" si="12"/>
        <v>33495</v>
      </c>
    </row>
    <row r="34" spans="1:10" x14ac:dyDescent="0.3">
      <c r="A34" s="18" t="s">
        <v>68</v>
      </c>
      <c r="B34" s="19" t="s">
        <v>69</v>
      </c>
      <c r="C34" s="20" t="s">
        <v>70</v>
      </c>
      <c r="D34" s="24">
        <f>D33+D32</f>
        <v>255894.375</v>
      </c>
      <c r="E34" s="24">
        <f t="shared" ref="E34:J34" si="13">E33+E32</f>
        <v>378345</v>
      </c>
      <c r="F34" s="24">
        <f t="shared" si="13"/>
        <v>498960</v>
      </c>
      <c r="G34" s="24">
        <f t="shared" si="13"/>
        <v>243430</v>
      </c>
      <c r="H34" s="24">
        <f t="shared" si="13"/>
        <v>259930</v>
      </c>
      <c r="I34" s="24">
        <f t="shared" si="13"/>
        <v>256630</v>
      </c>
      <c r="J34" s="24">
        <f t="shared" si="13"/>
        <v>368445</v>
      </c>
    </row>
    <row r="35" spans="1:10" ht="14.5" x14ac:dyDescent="0.35">
      <c r="A35" s="18" t="s">
        <v>71</v>
      </c>
      <c r="B35" s="19" t="s">
        <v>72</v>
      </c>
      <c r="C35" s="20" t="s">
        <v>18</v>
      </c>
      <c r="D35" s="25">
        <f>D9</f>
        <v>291500</v>
      </c>
      <c r="E35" s="25">
        <f t="shared" ref="E35:J35" si="14">E9</f>
        <v>455000</v>
      </c>
      <c r="F35" s="25">
        <f t="shared" si="14"/>
        <v>616000</v>
      </c>
      <c r="G35" s="25">
        <f t="shared" si="14"/>
        <v>570000</v>
      </c>
      <c r="H35" s="25">
        <f t="shared" si="14"/>
        <v>570000</v>
      </c>
      <c r="I35" s="25">
        <f t="shared" si="14"/>
        <v>470000</v>
      </c>
      <c r="J35" s="25">
        <f t="shared" si="14"/>
        <v>422500</v>
      </c>
    </row>
    <row r="36" spans="1:10" x14ac:dyDescent="0.3">
      <c r="A36" s="18" t="s">
        <v>73</v>
      </c>
      <c r="B36" s="19" t="s">
        <v>74</v>
      </c>
      <c r="C36" s="20" t="s">
        <v>75</v>
      </c>
      <c r="D36" s="24">
        <f>D35-D34</f>
        <v>35605.625</v>
      </c>
      <c r="E36" s="24">
        <f t="shared" ref="E36:J36" si="15">E35-E34</f>
        <v>76655</v>
      </c>
      <c r="F36" s="24">
        <f t="shared" si="15"/>
        <v>117040</v>
      </c>
      <c r="G36" s="24">
        <f t="shared" si="15"/>
        <v>326570</v>
      </c>
      <c r="H36" s="24">
        <f t="shared" si="15"/>
        <v>310070</v>
      </c>
      <c r="I36" s="24">
        <f t="shared" si="15"/>
        <v>213370</v>
      </c>
      <c r="J36" s="24">
        <f t="shared" si="15"/>
        <v>54055</v>
      </c>
    </row>
    <row r="37" spans="1:10" x14ac:dyDescent="0.3">
      <c r="A37" s="18" t="s">
        <v>76</v>
      </c>
      <c r="B37" s="19" t="s">
        <v>77</v>
      </c>
      <c r="C37" s="20" t="s">
        <v>78</v>
      </c>
      <c r="D37" s="26">
        <v>0.1</v>
      </c>
      <c r="E37" s="26">
        <v>0.1</v>
      </c>
      <c r="F37" s="26">
        <v>0.1</v>
      </c>
      <c r="G37" s="26">
        <v>0.1</v>
      </c>
      <c r="H37" s="26">
        <v>0.1</v>
      </c>
      <c r="I37" s="26">
        <v>0.1</v>
      </c>
      <c r="J37" s="26">
        <v>0.1</v>
      </c>
    </row>
    <row r="38" spans="1:10" x14ac:dyDescent="0.3">
      <c r="A38" s="18" t="s">
        <v>79</v>
      </c>
      <c r="B38" s="19" t="s">
        <v>80</v>
      </c>
      <c r="C38" s="20" t="s">
        <v>81</v>
      </c>
      <c r="D38" s="24">
        <f>D37*D36</f>
        <v>3560.5625</v>
      </c>
      <c r="E38" s="24">
        <f t="shared" ref="E38:J38" si="16">E37*E36</f>
        <v>7665.5</v>
      </c>
      <c r="F38" s="24">
        <f t="shared" si="16"/>
        <v>11704</v>
      </c>
      <c r="G38" s="24">
        <f t="shared" si="16"/>
        <v>32657</v>
      </c>
      <c r="H38" s="24">
        <f t="shared" si="16"/>
        <v>31007</v>
      </c>
      <c r="I38" s="24">
        <f t="shared" si="16"/>
        <v>21337</v>
      </c>
      <c r="J38" s="24">
        <f t="shared" si="16"/>
        <v>5405.5</v>
      </c>
    </row>
    <row r="39" spans="1:10" x14ac:dyDescent="0.3">
      <c r="A39" s="18" t="s">
        <v>82</v>
      </c>
      <c r="B39" s="19" t="s">
        <v>83</v>
      </c>
      <c r="C39" s="20" t="s">
        <v>84</v>
      </c>
      <c r="D39" s="24">
        <f>D38+D26</f>
        <v>88560.5625</v>
      </c>
      <c r="E39" s="24">
        <f t="shared" ref="E39:J39" si="17">E38+E26</f>
        <v>127665.5</v>
      </c>
      <c r="F39" s="24">
        <f t="shared" si="17"/>
        <v>171704</v>
      </c>
      <c r="G39" s="24">
        <f t="shared" si="17"/>
        <v>112657</v>
      </c>
      <c r="H39" s="24">
        <f t="shared" si="17"/>
        <v>111007</v>
      </c>
      <c r="I39" s="24">
        <f t="shared" si="17"/>
        <v>101337</v>
      </c>
      <c r="J39" s="24">
        <f t="shared" si="17"/>
        <v>125405.5</v>
      </c>
    </row>
    <row r="40" spans="1:10" x14ac:dyDescent="0.3">
      <c r="D40" s="27"/>
      <c r="E40" s="27"/>
      <c r="F40" s="27"/>
      <c r="G40" s="27"/>
      <c r="H40" s="27"/>
      <c r="I40" s="27"/>
      <c r="J40" s="27"/>
    </row>
    <row r="41" spans="1:10" ht="21" x14ac:dyDescent="0.5">
      <c r="B41" s="5" t="s">
        <v>85</v>
      </c>
      <c r="D41" s="27"/>
      <c r="E41" s="27"/>
      <c r="F41" s="27"/>
      <c r="G41" s="27"/>
      <c r="H41" s="27"/>
      <c r="I41" s="27"/>
      <c r="J41" s="27"/>
    </row>
    <row r="42" spans="1:10" x14ac:dyDescent="0.3">
      <c r="A42" s="28" t="s">
        <v>86</v>
      </c>
      <c r="B42" s="29" t="s">
        <v>87</v>
      </c>
      <c r="C42" s="30" t="s">
        <v>88</v>
      </c>
      <c r="D42" s="31">
        <f t="shared" ref="D42:J42" si="18">D39+D16</f>
        <v>6060.5625</v>
      </c>
      <c r="E42" s="31">
        <f t="shared" si="18"/>
        <v>2665.5</v>
      </c>
      <c r="F42" s="31">
        <f t="shared" si="18"/>
        <v>1704</v>
      </c>
      <c r="G42" s="31">
        <f t="shared" si="18"/>
        <v>7407</v>
      </c>
      <c r="H42" s="31">
        <f t="shared" si="18"/>
        <v>11007</v>
      </c>
      <c r="I42" s="31">
        <f t="shared" si="18"/>
        <v>4837</v>
      </c>
      <c r="J42" s="31">
        <f t="shared" si="18"/>
        <v>405.5</v>
      </c>
    </row>
    <row r="43" spans="1:10" x14ac:dyDescent="0.3">
      <c r="D43" s="27"/>
      <c r="E43" s="27"/>
      <c r="F43" s="27"/>
      <c r="G43" s="27"/>
      <c r="H43" s="27"/>
      <c r="I43" s="27"/>
      <c r="J43" s="27"/>
    </row>
    <row r="44" spans="1:10" ht="21" x14ac:dyDescent="0.5">
      <c r="B44" s="5" t="s">
        <v>89</v>
      </c>
      <c r="D44" s="27"/>
      <c r="E44" s="27"/>
      <c r="F44" s="27"/>
      <c r="G44" s="27"/>
      <c r="H44" s="27"/>
      <c r="I44" s="27"/>
      <c r="J44" s="27"/>
    </row>
    <row r="45" spans="1:10" x14ac:dyDescent="0.3">
      <c r="A45" s="32" t="s">
        <v>90</v>
      </c>
      <c r="B45" s="33" t="s">
        <v>91</v>
      </c>
      <c r="C45" s="34" t="s">
        <v>18</v>
      </c>
      <c r="D45" s="35">
        <f t="shared" ref="D45:J45" si="19">D9</f>
        <v>291500</v>
      </c>
      <c r="E45" s="35">
        <f t="shared" si="19"/>
        <v>455000</v>
      </c>
      <c r="F45" s="35">
        <f t="shared" si="19"/>
        <v>616000</v>
      </c>
      <c r="G45" s="35">
        <f t="shared" si="19"/>
        <v>570000</v>
      </c>
      <c r="H45" s="35">
        <f t="shared" si="19"/>
        <v>570000</v>
      </c>
      <c r="I45" s="35">
        <f t="shared" si="19"/>
        <v>470000</v>
      </c>
      <c r="J45" s="35">
        <f t="shared" si="19"/>
        <v>422500</v>
      </c>
    </row>
    <row r="46" spans="1:10" x14ac:dyDescent="0.3">
      <c r="A46" s="32" t="s">
        <v>92</v>
      </c>
      <c r="B46" s="33" t="s">
        <v>93</v>
      </c>
      <c r="C46" s="34" t="s">
        <v>21</v>
      </c>
      <c r="D46" s="36">
        <f>D11</f>
        <v>0.6</v>
      </c>
      <c r="E46" s="36">
        <f>D46</f>
        <v>0.6</v>
      </c>
      <c r="F46" s="36">
        <f t="shared" ref="F46:J46" si="20">E46</f>
        <v>0.6</v>
      </c>
      <c r="G46" s="36">
        <f t="shared" si="20"/>
        <v>0.6</v>
      </c>
      <c r="H46" s="36">
        <f t="shared" si="20"/>
        <v>0.6</v>
      </c>
      <c r="I46" s="36">
        <f t="shared" si="20"/>
        <v>0.6</v>
      </c>
      <c r="J46" s="36">
        <f t="shared" si="20"/>
        <v>0.6</v>
      </c>
    </row>
    <row r="47" spans="1:10" x14ac:dyDescent="0.3">
      <c r="A47" s="32" t="s">
        <v>94</v>
      </c>
      <c r="B47" s="33" t="s">
        <v>95</v>
      </c>
      <c r="C47" s="34" t="s">
        <v>96</v>
      </c>
      <c r="D47" s="37">
        <f>D46*D45*-1</f>
        <v>-174900</v>
      </c>
      <c r="E47" s="37">
        <f t="shared" ref="E47:J47" si="21">E46*E45*-1</f>
        <v>-273000</v>
      </c>
      <c r="F47" s="37">
        <f t="shared" si="21"/>
        <v>-369600</v>
      </c>
      <c r="G47" s="37">
        <f t="shared" si="21"/>
        <v>-342000</v>
      </c>
      <c r="H47" s="37">
        <f t="shared" si="21"/>
        <v>-342000</v>
      </c>
      <c r="I47" s="37">
        <f t="shared" si="21"/>
        <v>-282000</v>
      </c>
      <c r="J47" s="37">
        <f t="shared" si="21"/>
        <v>-253500</v>
      </c>
    </row>
    <row r="48" spans="1:10" x14ac:dyDescent="0.3">
      <c r="A48" s="32" t="s">
        <v>97</v>
      </c>
      <c r="B48" s="33" t="s">
        <v>98</v>
      </c>
      <c r="C48" s="34" t="s">
        <v>49</v>
      </c>
      <c r="D48" s="35">
        <f>D26*-1</f>
        <v>-85000</v>
      </c>
      <c r="E48" s="35">
        <f t="shared" ref="E48:J48" si="22">E26*-1</f>
        <v>-120000</v>
      </c>
      <c r="F48" s="35">
        <f t="shared" si="22"/>
        <v>-160000</v>
      </c>
      <c r="G48" s="35">
        <f t="shared" si="22"/>
        <v>-80000</v>
      </c>
      <c r="H48" s="35">
        <f t="shared" si="22"/>
        <v>-80000</v>
      </c>
      <c r="I48" s="35">
        <f t="shared" si="22"/>
        <v>-80000</v>
      </c>
      <c r="J48" s="35">
        <f t="shared" si="22"/>
        <v>-120000</v>
      </c>
    </row>
    <row r="49" spans="1:10" x14ac:dyDescent="0.3">
      <c r="A49" s="32" t="s">
        <v>99</v>
      </c>
      <c r="B49" s="33" t="s">
        <v>100</v>
      </c>
      <c r="C49" s="34" t="s">
        <v>101</v>
      </c>
      <c r="D49" s="35">
        <f>(D29+D28)*-1</f>
        <v>-700</v>
      </c>
      <c r="E49" s="35">
        <f t="shared" ref="E49:J49" si="23">(E29+E28)*-1</f>
        <v>-7200</v>
      </c>
      <c r="F49" s="35">
        <f t="shared" si="23"/>
        <v>-7600</v>
      </c>
      <c r="G49" s="35">
        <f t="shared" si="23"/>
        <v>-1600</v>
      </c>
      <c r="H49" s="35">
        <f t="shared" si="23"/>
        <v>-7600</v>
      </c>
      <c r="I49" s="35">
        <f t="shared" si="23"/>
        <v>-6400</v>
      </c>
      <c r="J49" s="35">
        <f t="shared" si="23"/>
        <v>-3600</v>
      </c>
    </row>
    <row r="50" spans="1:10" x14ac:dyDescent="0.3">
      <c r="A50" s="32" t="s">
        <v>102</v>
      </c>
      <c r="B50" s="33" t="s">
        <v>103</v>
      </c>
      <c r="C50" s="34" t="s">
        <v>79</v>
      </c>
      <c r="D50" s="35">
        <f>D38*-1</f>
        <v>-3560.5625</v>
      </c>
      <c r="E50" s="35">
        <f t="shared" ref="E50:J50" si="24">E38*-1</f>
        <v>-7665.5</v>
      </c>
      <c r="F50" s="35">
        <f t="shared" si="24"/>
        <v>-11704</v>
      </c>
      <c r="G50" s="35">
        <f t="shared" si="24"/>
        <v>-32657</v>
      </c>
      <c r="H50" s="35">
        <f t="shared" si="24"/>
        <v>-31007</v>
      </c>
      <c r="I50" s="35">
        <f t="shared" si="24"/>
        <v>-21337</v>
      </c>
      <c r="J50" s="35">
        <f t="shared" si="24"/>
        <v>-5405.5</v>
      </c>
    </row>
    <row r="51" spans="1:10" ht="14.5" x14ac:dyDescent="0.35">
      <c r="A51" s="38" t="s">
        <v>104</v>
      </c>
      <c r="B51" s="39" t="s">
        <v>105</v>
      </c>
      <c r="C51" s="40" t="s">
        <v>106</v>
      </c>
      <c r="D51" s="41">
        <f>-(D48+D50)*0.0865*-1</f>
        <v>-7660.4886562499996</v>
      </c>
      <c r="E51" s="41">
        <f t="shared" ref="E51:J51" si="25">-(E48+E50)*0.0865*-1</f>
        <v>-11043.06575</v>
      </c>
      <c r="F51" s="41">
        <f t="shared" si="25"/>
        <v>-14852.395999999999</v>
      </c>
      <c r="G51" s="41">
        <f t="shared" si="25"/>
        <v>-9744.8305</v>
      </c>
      <c r="H51" s="41">
        <f t="shared" si="25"/>
        <v>-9602.1054999999997</v>
      </c>
      <c r="I51" s="41">
        <f t="shared" si="25"/>
        <v>-8765.6504999999997</v>
      </c>
      <c r="J51" s="41">
        <f t="shared" si="25"/>
        <v>-10847.57575</v>
      </c>
    </row>
    <row r="52" spans="1:10" x14ac:dyDescent="0.3">
      <c r="A52" s="32" t="s">
        <v>107</v>
      </c>
      <c r="B52" s="33" t="s">
        <v>108</v>
      </c>
      <c r="C52" s="34" t="s">
        <v>109</v>
      </c>
      <c r="D52" s="35">
        <f>D45+D47+D48+D50+D49+D51</f>
        <v>19678.94884375</v>
      </c>
      <c r="E52" s="35">
        <f t="shared" ref="E52:J52" si="26">E45+E47+E48+E50+E49+E51</f>
        <v>36091.434249999998</v>
      </c>
      <c r="F52" s="35">
        <f t="shared" si="26"/>
        <v>52243.603999999999</v>
      </c>
      <c r="G52" s="35">
        <f t="shared" si="26"/>
        <v>103998.1695</v>
      </c>
      <c r="H52" s="35">
        <f t="shared" si="26"/>
        <v>99790.894499999995</v>
      </c>
      <c r="I52" s="35">
        <f t="shared" si="26"/>
        <v>71497.349499999997</v>
      </c>
      <c r="J52" s="35">
        <f t="shared" si="26"/>
        <v>29146.92425</v>
      </c>
    </row>
    <row r="53" spans="1:10" x14ac:dyDescent="0.3">
      <c r="A53" s="32"/>
      <c r="B53" s="33" t="s">
        <v>110</v>
      </c>
      <c r="C53" s="34" t="s">
        <v>111</v>
      </c>
      <c r="D53" s="36">
        <f>D52/D45</f>
        <v>6.7509258469125213E-2</v>
      </c>
      <c r="E53" s="36">
        <f t="shared" ref="E53:J53" si="27">E52/E45</f>
        <v>7.9321833516483517E-2</v>
      </c>
      <c r="F53" s="36">
        <f t="shared" si="27"/>
        <v>8.4811045454545458E-2</v>
      </c>
      <c r="G53" s="36">
        <f t="shared" si="27"/>
        <v>0.18245292894736842</v>
      </c>
      <c r="H53" s="36">
        <f t="shared" si="27"/>
        <v>0.17507174473684209</v>
      </c>
      <c r="I53" s="36">
        <f t="shared" si="27"/>
        <v>0.15212202021276594</v>
      </c>
      <c r="J53" s="36">
        <f t="shared" si="27"/>
        <v>6.8986802958579882E-2</v>
      </c>
    </row>
    <row r="55" spans="1:10" ht="21" x14ac:dyDescent="0.5">
      <c r="B55" s="5" t="s">
        <v>112</v>
      </c>
    </row>
    <row r="56" spans="1:10" ht="14.5" x14ac:dyDescent="0.35">
      <c r="B56" s="42" t="s">
        <v>113</v>
      </c>
      <c r="C56" s="43">
        <v>4</v>
      </c>
      <c r="D56" s="43">
        <v>3</v>
      </c>
      <c r="E56" s="43">
        <v>2</v>
      </c>
      <c r="F56" s="43">
        <v>1</v>
      </c>
    </row>
    <row r="57" spans="1:10" x14ac:dyDescent="0.3">
      <c r="B57" s="44" t="s">
        <v>114</v>
      </c>
      <c r="C57" s="45">
        <v>160000</v>
      </c>
      <c r="D57" s="46">
        <f>C57/C56*3</f>
        <v>120000</v>
      </c>
      <c r="E57" s="46">
        <f>C57/4*2</f>
        <v>80000</v>
      </c>
      <c r="F57" s="46">
        <f>C57/4*1</f>
        <v>40000</v>
      </c>
    </row>
    <row r="58" spans="1:10" x14ac:dyDescent="0.3">
      <c r="B58" s="44" t="s">
        <v>115</v>
      </c>
      <c r="C58" s="45">
        <f>C57*0.5</f>
        <v>80000</v>
      </c>
      <c r="D58" s="46">
        <f>C58/C56*3</f>
        <v>60000</v>
      </c>
      <c r="E58" s="46">
        <f>C58/4*2</f>
        <v>40000</v>
      </c>
      <c r="F58" s="46">
        <f>C58/4</f>
        <v>20000</v>
      </c>
      <c r="J58" s="27"/>
    </row>
    <row r="59" spans="1:10" x14ac:dyDescent="0.3">
      <c r="B59" s="44" t="s">
        <v>116</v>
      </c>
      <c r="C59" s="45">
        <f>C56*400</f>
        <v>1600</v>
      </c>
      <c r="D59" s="45">
        <f t="shared" ref="D59:F59" si="28">D56*400</f>
        <v>1200</v>
      </c>
      <c r="E59" s="45">
        <f t="shared" si="28"/>
        <v>800</v>
      </c>
      <c r="F59" s="45">
        <f t="shared" si="28"/>
        <v>400</v>
      </c>
      <c r="J59" s="27"/>
    </row>
    <row r="60" spans="1:10" x14ac:dyDescent="0.3">
      <c r="B60" s="44" t="s">
        <v>117</v>
      </c>
      <c r="C60" s="45">
        <f>C59</f>
        <v>1600</v>
      </c>
      <c r="D60" s="45">
        <f t="shared" ref="D60:F60" si="29">D59</f>
        <v>1200</v>
      </c>
      <c r="E60" s="45">
        <f t="shared" si="29"/>
        <v>800</v>
      </c>
      <c r="F60" s="45">
        <f t="shared" si="29"/>
        <v>400</v>
      </c>
      <c r="J6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Margin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2024-06-08T04:26:39Z</dcterms:created>
  <dcterms:modified xsi:type="dcterms:W3CDTF">2024-06-08T04:27:13Z</dcterms:modified>
</cp:coreProperties>
</file>