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ediatric Support Dropbox\Paul Vanchiere\DB_Cabinet\PMI\HubSpot\SampleSpreadsheets\"/>
    </mc:Choice>
  </mc:AlternateContent>
  <xr:revisionPtr revIDLastSave="0" documentId="8_{A744DEEC-01A6-41CD-B603-1A6412A27F93}" xr6:coauthVersionLast="47" xr6:coauthVersionMax="47" xr10:uidLastSave="{00000000-0000-0000-0000-000000000000}"/>
  <bookViews>
    <workbookView xWindow="-110" yWindow="-110" windowWidth="25820" windowHeight="15500" xr2:uid="{0B8B94F1-76E9-48D5-839B-1D14AF005F83}"/>
  </bookViews>
  <sheets>
    <sheet name="ProviderCompModel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vsASD">"V2012-06-30"</definedName>
    <definedName name="NvsAutoDrillOk">"VN"</definedName>
    <definedName name="NvsElapsedTime">0.0000347222230629995</definedName>
    <definedName name="NvsEndTime">41108.6767013889</definedName>
    <definedName name="NvsInstLang">"VENG"</definedName>
    <definedName name="NvsInstSpec">"%,FDEPTID,V7523"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"V2005-10-01"</definedName>
    <definedName name="NvsPanelSetid">"VSHARE"</definedName>
    <definedName name="NvsReqBU">"VTCHPA"</definedName>
    <definedName name="NvsReqBUOnly">"VY"</definedName>
    <definedName name="NvsTransLed">"VN"</definedName>
    <definedName name="NvsTreeASD">"V2012-06-30"</definedName>
    <definedName name="NvsValTbl.PRODUCT">"PRODUCT_TBL"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2" i="1" s="1"/>
  <c r="E23" i="1" s="1"/>
  <c r="D21" i="1"/>
  <c r="D22" i="1" s="1"/>
  <c r="D23" i="1" s="1"/>
  <c r="E12" i="1"/>
  <c r="D7" i="1"/>
  <c r="D11" i="1" s="1"/>
  <c r="E6" i="1"/>
  <c r="E7" i="1" s="1"/>
  <c r="E11" i="1" s="1"/>
  <c r="E25" i="1" l="1"/>
  <c r="D13" i="1"/>
  <c r="D26" i="1" s="1"/>
  <c r="D27" i="1" s="1"/>
  <c r="D29" i="1" s="1"/>
  <c r="D25" i="1"/>
  <c r="D14" i="1"/>
  <c r="E13" i="1"/>
  <c r="E26" i="1" s="1"/>
  <c r="E27" i="1" s="1"/>
  <c r="E29" i="1" s="1"/>
  <c r="E30" i="1" l="1"/>
  <c r="E33" i="1"/>
  <c r="E34" i="1" s="1"/>
  <c r="E31" i="1"/>
  <c r="D33" i="1"/>
  <c r="D34" i="1" s="1"/>
  <c r="D31" i="1"/>
  <c r="D30" i="1"/>
  <c r="D36" i="1"/>
  <c r="D37" i="1" s="1"/>
  <c r="E14" i="1"/>
  <c r="E36" i="1"/>
  <c r="E37" i="1" s="1"/>
</calcChain>
</file>

<file path=xl/sharedStrings.xml><?xml version="1.0" encoding="utf-8"?>
<sst xmlns="http://schemas.openxmlformats.org/spreadsheetml/2006/main" count="85" uniqueCount="82">
  <si>
    <t>Provider Compensation Determination Worksheet</t>
  </si>
  <si>
    <t>Threshold = Overhead + Provider Cost + Practice Margin</t>
  </si>
  <si>
    <t>A</t>
  </si>
  <si>
    <t>Visits Per Day</t>
  </si>
  <si>
    <t>Estimate</t>
  </si>
  <si>
    <t>B</t>
  </si>
  <si>
    <t>Revenue Per Encounter</t>
  </si>
  <si>
    <t>Analysis</t>
  </si>
  <si>
    <t>C</t>
  </si>
  <si>
    <t>Revenue Per Day</t>
  </si>
  <si>
    <t>A * B</t>
  </si>
  <si>
    <t>D1</t>
  </si>
  <si>
    <t>Days per Week</t>
  </si>
  <si>
    <t>D2</t>
  </si>
  <si>
    <t>Weeks per Year</t>
  </si>
  <si>
    <t>D3</t>
  </si>
  <si>
    <t>Provider Days Worked</t>
  </si>
  <si>
    <t>E</t>
  </si>
  <si>
    <t>Provider Annual Revenue</t>
  </si>
  <si>
    <t>C * D3</t>
  </si>
  <si>
    <t>F</t>
  </si>
  <si>
    <t>Practice Overhead Rate</t>
  </si>
  <si>
    <t>G</t>
  </si>
  <si>
    <t xml:space="preserve">Practice Overhead </t>
  </si>
  <si>
    <t>E * F</t>
  </si>
  <si>
    <t>H</t>
  </si>
  <si>
    <t>Allowance for Provider &amp; Practice Margin</t>
  </si>
  <si>
    <t>E - G</t>
  </si>
  <si>
    <t>I</t>
  </si>
  <si>
    <t>Provider Salary</t>
  </si>
  <si>
    <t>J1</t>
  </si>
  <si>
    <t>Malpractice Insurance</t>
  </si>
  <si>
    <t>J2</t>
  </si>
  <si>
    <t>Professional License</t>
  </si>
  <si>
    <t>J3</t>
  </si>
  <si>
    <t>CME/Dues</t>
  </si>
  <si>
    <t>J4</t>
  </si>
  <si>
    <t>Health Insurance Allowance</t>
  </si>
  <si>
    <t>J5</t>
  </si>
  <si>
    <t>EmployER Retirement Contribution</t>
  </si>
  <si>
    <t>J6</t>
  </si>
  <si>
    <t>EmployER Medicare &amp; Social Security</t>
  </si>
  <si>
    <t>7.65% of Salary</t>
  </si>
  <si>
    <t>J7</t>
  </si>
  <si>
    <t>Total Benefits Cost</t>
  </si>
  <si>
    <t>Sum J1-J6</t>
  </si>
  <si>
    <t>K</t>
  </si>
  <si>
    <t>Total Provider Cost</t>
  </si>
  <si>
    <t xml:space="preserve"> J7 + K</t>
  </si>
  <si>
    <t>L1</t>
  </si>
  <si>
    <t>Practice Margin Adjustor (%)</t>
  </si>
  <si>
    <t>L2</t>
  </si>
  <si>
    <t>Practice Margin Adjustor ($)</t>
  </si>
  <si>
    <t>M</t>
  </si>
  <si>
    <t>Threshold</t>
  </si>
  <si>
    <t>G + K + L2</t>
  </si>
  <si>
    <t>N</t>
  </si>
  <si>
    <t>Bonus Collections</t>
  </si>
  <si>
    <t>E - M</t>
  </si>
  <si>
    <t>O</t>
  </si>
  <si>
    <t>Bonus Rate</t>
  </si>
  <si>
    <t>P</t>
  </si>
  <si>
    <t>Bonus Amount</t>
  </si>
  <si>
    <t>N * O</t>
  </si>
  <si>
    <t>Q</t>
  </si>
  <si>
    <t>Bonus EmployER Costs (8%)</t>
  </si>
  <si>
    <t>P * 8%</t>
  </si>
  <si>
    <t>R</t>
  </si>
  <si>
    <t>Total Comp and Benefits</t>
  </si>
  <si>
    <t>K + P</t>
  </si>
  <si>
    <t>S</t>
  </si>
  <si>
    <t>Provider Comp &amp; Bonus</t>
  </si>
  <si>
    <t>I + P</t>
  </si>
  <si>
    <t>T</t>
  </si>
  <si>
    <t>Comp &amp; Ben % of Revenue</t>
  </si>
  <si>
    <t>S / E</t>
  </si>
  <si>
    <t>U</t>
  </si>
  <si>
    <t>Practice Margin ($)</t>
  </si>
  <si>
    <t>E - G - K - P - Q</t>
  </si>
  <si>
    <t>V</t>
  </si>
  <si>
    <t>Practice Margin (%)</t>
  </si>
  <si>
    <t>U /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</si>
</sst>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/>
    <xf numFmtId="0" fontId="4" fillId="2" borderId="2" xfId="0" applyFont="1" applyFill="1" applyBorder="1" applyAlignment="1">
      <alignment horizontal="center"/>
    </xf>
    <xf numFmtId="44" fontId="4" fillId="2" borderId="2" xfId="1" applyFont="1" applyFill="1" applyBorder="1"/>
    <xf numFmtId="164" fontId="4" fillId="0" borderId="2" xfId="1" applyNumberFormat="1" applyFont="1" applyBorder="1"/>
    <xf numFmtId="0" fontId="4" fillId="0" borderId="2" xfId="0" applyFont="1" applyBorder="1" applyAlignment="1">
      <alignment horizontal="center"/>
    </xf>
    <xf numFmtId="10" fontId="4" fillId="2" borderId="2" xfId="2" applyNumberFormat="1" applyFont="1" applyFill="1" applyBorder="1" applyAlignment="1">
      <alignment horizontal="center"/>
    </xf>
    <xf numFmtId="164" fontId="4" fillId="2" borderId="2" xfId="1" applyNumberFormat="1" applyFont="1" applyFill="1" applyBorder="1"/>
    <xf numFmtId="164" fontId="4" fillId="2" borderId="3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10" fontId="5" fillId="3" borderId="2" xfId="2" applyNumberFormat="1" applyFont="1" applyFill="1" applyBorder="1" applyAlignment="1">
      <alignment horizontal="center"/>
    </xf>
    <xf numFmtId="10" fontId="4" fillId="2" borderId="2" xfId="2" applyNumberFormat="1" applyFont="1" applyFill="1" applyBorder="1"/>
    <xf numFmtId="0" fontId="6" fillId="0" borderId="2" xfId="0" applyFont="1" applyBorder="1"/>
    <xf numFmtId="0" fontId="7" fillId="0" borderId="2" xfId="0" applyFont="1" applyBorder="1" applyAlignment="1">
      <alignment horizontal="center"/>
    </xf>
    <xf numFmtId="164" fontId="6" fillId="0" borderId="2" xfId="0" applyNumberFormat="1" applyFont="1" applyBorder="1"/>
    <xf numFmtId="164" fontId="4" fillId="0" borderId="2" xfId="0" applyNumberFormat="1" applyFont="1" applyBorder="1"/>
    <xf numFmtId="0" fontId="4" fillId="0" borderId="0" xfId="0" applyFont="1"/>
    <xf numFmtId="10" fontId="4" fillId="0" borderId="2" xfId="2" applyNumberFormat="1" applyFont="1" applyBorder="1"/>
    <xf numFmtId="0" fontId="0" fillId="0" borderId="2" xfId="0" applyBorder="1"/>
    <xf numFmtId="164" fontId="0" fillId="0" borderId="2" xfId="0" applyNumberFormat="1" applyBorder="1"/>
    <xf numFmtId="10" fontId="0" fillId="0" borderId="2" xfId="2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6E0BF-1CB7-4F2C-818E-A041FB11290B}">
  <dimension ref="A1:E37"/>
  <sheetViews>
    <sheetView tabSelected="1" workbookViewId="0">
      <selection activeCell="J10" sqref="J10"/>
    </sheetView>
  </sheetViews>
  <sheetFormatPr defaultRowHeight="12.5" x14ac:dyDescent="0.25"/>
  <cols>
    <col min="1" max="1" width="3.453125" bestFit="1" customWidth="1"/>
    <col min="2" max="2" width="35.1796875" bestFit="1" customWidth="1"/>
    <col min="3" max="3" width="14.1796875" bestFit="1" customWidth="1"/>
    <col min="4" max="5" width="10.453125" bestFit="1" customWidth="1"/>
  </cols>
  <sheetData>
    <row r="1" spans="1:5" ht="21" x14ac:dyDescent="0.25">
      <c r="A1" s="1" t="s">
        <v>0</v>
      </c>
      <c r="B1" s="1"/>
      <c r="C1" s="1"/>
      <c r="D1" s="1"/>
      <c r="E1" s="1"/>
    </row>
    <row r="3" spans="1:5" ht="14.5" x14ac:dyDescent="0.35">
      <c r="A3" s="2" t="s">
        <v>1</v>
      </c>
      <c r="B3" s="2"/>
      <c r="C3" s="2"/>
      <c r="D3" s="2"/>
      <c r="E3" s="2"/>
    </row>
    <row r="4" spans="1:5" ht="14.5" x14ac:dyDescent="0.35">
      <c r="A4" s="3"/>
      <c r="B4" s="3"/>
      <c r="C4" s="3"/>
      <c r="D4" s="3"/>
      <c r="E4" s="3"/>
    </row>
    <row r="5" spans="1:5" ht="14.5" x14ac:dyDescent="0.35">
      <c r="A5" s="4" t="s">
        <v>2</v>
      </c>
      <c r="B5" s="5" t="s">
        <v>3</v>
      </c>
      <c r="C5" s="4" t="s">
        <v>4</v>
      </c>
      <c r="D5" s="6">
        <v>18</v>
      </c>
      <c r="E5" s="6">
        <v>22</v>
      </c>
    </row>
    <row r="6" spans="1:5" ht="14.5" x14ac:dyDescent="0.35">
      <c r="A6" s="4" t="s">
        <v>5</v>
      </c>
      <c r="B6" s="5" t="s">
        <v>6</v>
      </c>
      <c r="C6" s="4" t="s">
        <v>7</v>
      </c>
      <c r="D6" s="7">
        <v>155</v>
      </c>
      <c r="E6" s="7">
        <f>D6</f>
        <v>155</v>
      </c>
    </row>
    <row r="7" spans="1:5" ht="14.5" x14ac:dyDescent="0.35">
      <c r="A7" s="4" t="s">
        <v>8</v>
      </c>
      <c r="B7" s="5" t="s">
        <v>9</v>
      </c>
      <c r="C7" s="4" t="s">
        <v>10</v>
      </c>
      <c r="D7" s="8">
        <f>D6*D5</f>
        <v>2790</v>
      </c>
      <c r="E7" s="8">
        <f>E6*E5</f>
        <v>3410</v>
      </c>
    </row>
    <row r="8" spans="1:5" ht="14.5" x14ac:dyDescent="0.35">
      <c r="A8" s="4" t="s">
        <v>11</v>
      </c>
      <c r="B8" s="5" t="s">
        <v>12</v>
      </c>
      <c r="C8" s="4"/>
      <c r="D8" s="6">
        <v>4</v>
      </c>
      <c r="E8" s="6">
        <v>4</v>
      </c>
    </row>
    <row r="9" spans="1:5" ht="14.5" x14ac:dyDescent="0.35">
      <c r="A9" s="4" t="s">
        <v>13</v>
      </c>
      <c r="B9" s="5" t="s">
        <v>14</v>
      </c>
      <c r="C9" s="4"/>
      <c r="D9" s="6">
        <v>48</v>
      </c>
      <c r="E9" s="6">
        <v>48</v>
      </c>
    </row>
    <row r="10" spans="1:5" ht="14.5" x14ac:dyDescent="0.35">
      <c r="A10" s="4" t="s">
        <v>15</v>
      </c>
      <c r="B10" s="5" t="s">
        <v>16</v>
      </c>
      <c r="C10" s="4" t="s">
        <v>4</v>
      </c>
      <c r="D10" s="9">
        <v>195</v>
      </c>
      <c r="E10" s="9">
        <v>195</v>
      </c>
    </row>
    <row r="11" spans="1:5" ht="14.5" x14ac:dyDescent="0.35">
      <c r="A11" s="4" t="s">
        <v>17</v>
      </c>
      <c r="B11" s="5" t="s">
        <v>18</v>
      </c>
      <c r="C11" s="4" t="s">
        <v>19</v>
      </c>
      <c r="D11" s="8">
        <f>D10*D7</f>
        <v>544050</v>
      </c>
      <c r="E11" s="8">
        <f>E10*E7</f>
        <v>664950</v>
      </c>
    </row>
    <row r="12" spans="1:5" ht="14.5" x14ac:dyDescent="0.35">
      <c r="A12" s="4" t="s">
        <v>20</v>
      </c>
      <c r="B12" s="5" t="s">
        <v>21</v>
      </c>
      <c r="C12" s="4" t="s">
        <v>7</v>
      </c>
      <c r="D12" s="10">
        <v>0.65</v>
      </c>
      <c r="E12" s="10">
        <f>D12</f>
        <v>0.65</v>
      </c>
    </row>
    <row r="13" spans="1:5" ht="14.5" x14ac:dyDescent="0.35">
      <c r="A13" s="4" t="s">
        <v>22</v>
      </c>
      <c r="B13" s="5" t="s">
        <v>23</v>
      </c>
      <c r="C13" s="4" t="s">
        <v>24</v>
      </c>
      <c r="D13" s="8">
        <f>D12*D11</f>
        <v>353632.5</v>
      </c>
      <c r="E13" s="8">
        <f>E12*E11</f>
        <v>432217.5</v>
      </c>
    </row>
    <row r="14" spans="1:5" ht="14.5" x14ac:dyDescent="0.35">
      <c r="A14" s="4" t="s">
        <v>25</v>
      </c>
      <c r="B14" s="5" t="s">
        <v>26</v>
      </c>
      <c r="C14" s="4" t="s">
        <v>27</v>
      </c>
      <c r="D14" s="8">
        <f>D11-D13</f>
        <v>190417.5</v>
      </c>
      <c r="E14" s="8">
        <f>E11-E13</f>
        <v>232732.5</v>
      </c>
    </row>
    <row r="15" spans="1:5" ht="14.5" x14ac:dyDescent="0.35">
      <c r="A15" s="4" t="s">
        <v>28</v>
      </c>
      <c r="B15" s="5" t="s">
        <v>29</v>
      </c>
      <c r="C15" s="4" t="s">
        <v>4</v>
      </c>
      <c r="D15" s="11">
        <v>150000</v>
      </c>
      <c r="E15" s="11">
        <v>150000</v>
      </c>
    </row>
    <row r="16" spans="1:5" ht="14.5" x14ac:dyDescent="0.35">
      <c r="A16" s="4" t="s">
        <v>30</v>
      </c>
      <c r="B16" s="5" t="s">
        <v>31</v>
      </c>
      <c r="C16" s="4"/>
      <c r="D16" s="11">
        <v>3500</v>
      </c>
      <c r="E16" s="11">
        <v>3500</v>
      </c>
    </row>
    <row r="17" spans="1:5" ht="14.5" x14ac:dyDescent="0.35">
      <c r="A17" s="4" t="s">
        <v>32</v>
      </c>
      <c r="B17" s="5" t="s">
        <v>33</v>
      </c>
      <c r="C17" s="4"/>
      <c r="D17" s="12">
        <v>2000</v>
      </c>
      <c r="E17" s="12">
        <v>2000</v>
      </c>
    </row>
    <row r="18" spans="1:5" ht="14.5" x14ac:dyDescent="0.35">
      <c r="A18" s="4" t="s">
        <v>34</v>
      </c>
      <c r="B18" s="5" t="s">
        <v>35</v>
      </c>
      <c r="C18" s="4"/>
      <c r="D18" s="13"/>
      <c r="E18" s="13"/>
    </row>
    <row r="19" spans="1:5" ht="14.5" x14ac:dyDescent="0.35">
      <c r="A19" s="4" t="s">
        <v>36</v>
      </c>
      <c r="B19" s="5" t="s">
        <v>37</v>
      </c>
      <c r="C19" s="4"/>
      <c r="D19" s="11">
        <v>6000</v>
      </c>
      <c r="E19" s="11">
        <v>6000</v>
      </c>
    </row>
    <row r="20" spans="1:5" ht="14.5" x14ac:dyDescent="0.35">
      <c r="A20" s="4" t="s">
        <v>38</v>
      </c>
      <c r="B20" s="5" t="s">
        <v>39</v>
      </c>
      <c r="C20" s="4"/>
      <c r="D20" s="11">
        <v>3600</v>
      </c>
      <c r="E20" s="11">
        <v>3600</v>
      </c>
    </row>
    <row r="21" spans="1:5" ht="14.5" x14ac:dyDescent="0.35">
      <c r="A21" s="4" t="s">
        <v>40</v>
      </c>
      <c r="B21" s="5" t="s">
        <v>41</v>
      </c>
      <c r="C21" s="4" t="s">
        <v>42</v>
      </c>
      <c r="D21" s="8">
        <f>D15*0.0765</f>
        <v>11475</v>
      </c>
      <c r="E21" s="8">
        <f>E15*0.0765</f>
        <v>11475</v>
      </c>
    </row>
    <row r="22" spans="1:5" ht="14.5" x14ac:dyDescent="0.35">
      <c r="A22" s="4" t="s">
        <v>43</v>
      </c>
      <c r="B22" s="5" t="s">
        <v>44</v>
      </c>
      <c r="C22" s="4" t="s">
        <v>45</v>
      </c>
      <c r="D22" s="8">
        <f>SUM(D16:D21)</f>
        <v>26575</v>
      </c>
      <c r="E22" s="8">
        <f>SUM(E16:E21)</f>
        <v>26575</v>
      </c>
    </row>
    <row r="23" spans="1:5" ht="14.5" x14ac:dyDescent="0.35">
      <c r="A23" s="4" t="s">
        <v>46</v>
      </c>
      <c r="B23" s="5" t="s">
        <v>47</v>
      </c>
      <c r="C23" s="4" t="s">
        <v>48</v>
      </c>
      <c r="D23" s="8">
        <f>D22+D15</f>
        <v>176575</v>
      </c>
      <c r="E23" s="8">
        <f>E22+E15</f>
        <v>176575</v>
      </c>
    </row>
    <row r="24" spans="1:5" ht="14.5" x14ac:dyDescent="0.35">
      <c r="A24" s="4" t="s">
        <v>49</v>
      </c>
      <c r="B24" s="5" t="s">
        <v>50</v>
      </c>
      <c r="C24" s="14"/>
      <c r="D24" s="15">
        <v>0</v>
      </c>
      <c r="E24" s="15">
        <v>0</v>
      </c>
    </row>
    <row r="25" spans="1:5" ht="14.5" x14ac:dyDescent="0.35">
      <c r="A25" s="4" t="s">
        <v>51</v>
      </c>
      <c r="B25" s="5" t="s">
        <v>52</v>
      </c>
      <c r="C25" s="14"/>
      <c r="D25" s="8">
        <f>D24*D11</f>
        <v>0</v>
      </c>
      <c r="E25" s="8">
        <f>E24*E11</f>
        <v>0</v>
      </c>
    </row>
    <row r="26" spans="1:5" ht="14.5" x14ac:dyDescent="0.35">
      <c r="A26" s="4" t="s">
        <v>53</v>
      </c>
      <c r="B26" s="16" t="s">
        <v>54</v>
      </c>
      <c r="C26" s="17" t="s">
        <v>55</v>
      </c>
      <c r="D26" s="18">
        <f>D13+D23+D25</f>
        <v>530207.5</v>
      </c>
      <c r="E26" s="18">
        <f>E13+E23+E25</f>
        <v>608792.5</v>
      </c>
    </row>
    <row r="27" spans="1:5" ht="14.5" x14ac:dyDescent="0.35">
      <c r="A27" s="4" t="s">
        <v>56</v>
      </c>
      <c r="B27" s="5" t="s">
        <v>57</v>
      </c>
      <c r="C27" s="4" t="s">
        <v>58</v>
      </c>
      <c r="D27" s="19">
        <f>D11-D26</f>
        <v>13842.5</v>
      </c>
      <c r="E27" s="19">
        <f>E11-E26</f>
        <v>56157.5</v>
      </c>
    </row>
    <row r="28" spans="1:5" ht="14.5" x14ac:dyDescent="0.35">
      <c r="A28" s="4" t="s">
        <v>59</v>
      </c>
      <c r="B28" s="5" t="s">
        <v>60</v>
      </c>
      <c r="C28" s="4"/>
      <c r="D28" s="10">
        <v>0.1</v>
      </c>
      <c r="E28" s="10">
        <v>0.1</v>
      </c>
    </row>
    <row r="29" spans="1:5" ht="14.5" x14ac:dyDescent="0.35">
      <c r="A29" s="4" t="s">
        <v>61</v>
      </c>
      <c r="B29" s="5" t="s">
        <v>62</v>
      </c>
      <c r="C29" s="4" t="s">
        <v>63</v>
      </c>
      <c r="D29" s="19">
        <f t="shared" ref="D29:E29" si="0">D28*D27</f>
        <v>1384.25</v>
      </c>
      <c r="E29" s="19">
        <f t="shared" si="0"/>
        <v>5615.75</v>
      </c>
    </row>
    <row r="30" spans="1:5" ht="14.5" x14ac:dyDescent="0.35">
      <c r="A30" s="4" t="s">
        <v>64</v>
      </c>
      <c r="B30" s="5" t="s">
        <v>65</v>
      </c>
      <c r="C30" s="4" t="s">
        <v>66</v>
      </c>
      <c r="D30" s="19">
        <f t="shared" ref="D30:E30" si="1">D29*0.08</f>
        <v>110.74000000000001</v>
      </c>
      <c r="E30" s="19">
        <f t="shared" si="1"/>
        <v>449.26</v>
      </c>
    </row>
    <row r="31" spans="1:5" ht="14.5" x14ac:dyDescent="0.35">
      <c r="A31" s="4" t="s">
        <v>67</v>
      </c>
      <c r="B31" s="5" t="s">
        <v>68</v>
      </c>
      <c r="C31" s="4" t="s">
        <v>69</v>
      </c>
      <c r="D31" s="19">
        <f>D29+D23</f>
        <v>177959.25</v>
      </c>
      <c r="E31" s="19">
        <f>E29+E23</f>
        <v>182190.75</v>
      </c>
    </row>
    <row r="32" spans="1:5" ht="14.5" x14ac:dyDescent="0.35">
      <c r="A32" s="20"/>
      <c r="B32" s="20"/>
      <c r="C32" s="20"/>
      <c r="D32" s="20"/>
      <c r="E32" s="20"/>
    </row>
    <row r="33" spans="1:5" ht="14.5" x14ac:dyDescent="0.35">
      <c r="A33" s="4" t="s">
        <v>70</v>
      </c>
      <c r="B33" s="5" t="s">
        <v>71</v>
      </c>
      <c r="C33" s="4" t="s">
        <v>72</v>
      </c>
      <c r="D33" s="19">
        <f>D15+D29</f>
        <v>151384.25</v>
      </c>
      <c r="E33" s="19">
        <f>E15+E29</f>
        <v>155615.75</v>
      </c>
    </row>
    <row r="34" spans="1:5" ht="14.5" x14ac:dyDescent="0.35">
      <c r="A34" s="5" t="s">
        <v>73</v>
      </c>
      <c r="B34" s="5" t="s">
        <v>74</v>
      </c>
      <c r="C34" s="4" t="s">
        <v>75</v>
      </c>
      <c r="D34" s="21">
        <f>D33/D11</f>
        <v>0.27825429648010291</v>
      </c>
      <c r="E34" s="21">
        <f>E33/E11</f>
        <v>0.23402624257462967</v>
      </c>
    </row>
    <row r="36" spans="1:5" ht="14.5" x14ac:dyDescent="0.35">
      <c r="A36" s="22" t="s">
        <v>76</v>
      </c>
      <c r="B36" s="5" t="s">
        <v>77</v>
      </c>
      <c r="C36" s="4" t="s">
        <v>78</v>
      </c>
      <c r="D36" s="23">
        <f>D11-D13-D23-D29-D30</f>
        <v>12347.51</v>
      </c>
      <c r="E36" s="23">
        <f>E11-E13-E23-E29-E30</f>
        <v>50092.49</v>
      </c>
    </row>
    <row r="37" spans="1:5" ht="14.5" x14ac:dyDescent="0.35">
      <c r="A37" s="22" t="s">
        <v>79</v>
      </c>
      <c r="B37" s="5" t="s">
        <v>80</v>
      </c>
      <c r="C37" s="4" t="s">
        <v>81</v>
      </c>
      <c r="D37" s="24">
        <f>D36/D11</f>
        <v>2.2695542689091075E-2</v>
      </c>
      <c r="E37" s="24">
        <f>E36/E11</f>
        <v>7.5332716745619963E-2</v>
      </c>
    </row>
  </sheetData>
  <mergeCells count="3">
    <mergeCell ref="A3:E3"/>
    <mergeCell ref="D17:D18"/>
    <mergeCell ref="E17:E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ProviderCompModel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Vanchiere</dc:creator>
  <cp:lastModifiedBy>Paul Vanchiere</cp:lastModifiedBy>
  <dcterms:created xsi:type="dcterms:W3CDTF">2024-06-08T04:35:54Z</dcterms:created>
  <dcterms:modified xsi:type="dcterms:W3CDTF">2024-06-08T04:36:22Z</dcterms:modified>
</cp:coreProperties>
</file>